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nddu\Desktop\DM 2021 Active Revisions\"/>
    </mc:Choice>
  </mc:AlternateContent>
  <xr:revisionPtr revIDLastSave="0" documentId="13_ncr:1_{D69D823E-4B7D-4526-85E4-08041672D45E}" xr6:coauthVersionLast="46" xr6:coauthVersionMax="46" xr10:uidLastSave="{00000000-0000-0000-0000-000000000000}"/>
  <bookViews>
    <workbookView xWindow="-110" yWindow="-110" windowWidth="19420" windowHeight="11620" xr2:uid="{5325C210-2331-422E-B798-916D665D8F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7" i="1"/>
  <c r="F17" i="1" s="1"/>
  <c r="E18" i="1"/>
  <c r="F18" i="1" s="1"/>
  <c r="E19" i="1"/>
  <c r="F19" i="1" s="1"/>
  <c r="E20" i="1"/>
  <c r="G20" i="1" s="1"/>
  <c r="E21" i="1"/>
  <c r="G21" i="1" s="1"/>
  <c r="E22" i="1"/>
  <c r="F22" i="1" s="1"/>
  <c r="E23" i="1"/>
  <c r="F23" i="1" s="1"/>
  <c r="E24" i="1"/>
  <c r="F24" i="1" s="1"/>
  <c r="E25" i="1"/>
  <c r="F25" i="1" s="1"/>
  <c r="E26" i="1"/>
  <c r="F26" i="1" s="1"/>
  <c r="E15" i="1"/>
  <c r="F15" i="1" s="1"/>
  <c r="I5" i="1"/>
  <c r="H5" i="1"/>
  <c r="G5" i="1"/>
  <c r="F5" i="1"/>
  <c r="C16" i="1"/>
  <c r="C17" i="1"/>
  <c r="C18" i="1"/>
  <c r="C19" i="1"/>
  <c r="C20" i="1"/>
  <c r="C21" i="1"/>
  <c r="C22" i="1"/>
  <c r="C23" i="1"/>
  <c r="C24" i="1"/>
  <c r="C25" i="1"/>
  <c r="C26" i="1"/>
  <c r="C15" i="1"/>
  <c r="B15" i="1"/>
  <c r="B18" i="1"/>
  <c r="B19" i="1"/>
  <c r="B20" i="1"/>
  <c r="B21" i="1"/>
  <c r="B22" i="1"/>
  <c r="B23" i="1"/>
  <c r="B24" i="1"/>
  <c r="B25" i="1"/>
  <c r="B26" i="1"/>
  <c r="B16" i="1"/>
  <c r="B17" i="1"/>
  <c r="G19" i="1" l="1"/>
  <c r="K19" i="1" s="1"/>
  <c r="F20" i="1"/>
  <c r="K20" i="1" s="1"/>
  <c r="G18" i="1"/>
  <c r="K18" i="1" s="1"/>
  <c r="G26" i="1"/>
  <c r="K26" i="1" s="1"/>
  <c r="G24" i="1"/>
  <c r="K24" i="1" s="1"/>
  <c r="G23" i="1"/>
  <c r="K23" i="1" s="1"/>
  <c r="G16" i="1"/>
  <c r="K16" i="1" s="1"/>
  <c r="G17" i="1"/>
  <c r="K17" i="1" s="1"/>
  <c r="G25" i="1"/>
  <c r="K25" i="1" s="1"/>
  <c r="F21" i="1"/>
  <c r="K21" i="1" s="1"/>
  <c r="G22" i="1"/>
  <c r="K22" i="1" s="1"/>
  <c r="G15" i="1"/>
  <c r="K15" i="1" s="1"/>
  <c r="I22" i="1"/>
  <c r="I26" i="1"/>
  <c r="I19" i="1"/>
  <c r="I18" i="1"/>
  <c r="I25" i="1"/>
  <c r="I23" i="1"/>
  <c r="I20" i="1"/>
  <c r="I21" i="1"/>
  <c r="I15" i="1"/>
  <c r="I16" i="1"/>
  <c r="I24" i="1"/>
  <c r="I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tc={76DD307C-9E80-45F4-874F-D754EB515B0E}</author>
  </authors>
  <commentList>
    <comment ref="H4" authorId="0" shapeId="0" xr:uid="{76DD307C-9E80-45F4-874F-D754EB515B0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equation uses a "+" and a "-".  For calculating S, the "-" value will never be used as the equation will always yield a higher value using the "+".</t>
      </text>
    </comment>
  </commentList>
</comments>
</file>

<file path=xl/sharedStrings.xml><?xml version="1.0" encoding="utf-8"?>
<sst xmlns="http://schemas.openxmlformats.org/spreadsheetml/2006/main" count="56" uniqueCount="34">
  <si>
    <t>Exhibit 1260-7 (S &lt; L)</t>
  </si>
  <si>
    <t>Exhibit 1260-7 (S &gt; L)</t>
  </si>
  <si>
    <t>S</t>
  </si>
  <si>
    <t>L</t>
  </si>
  <si>
    <t>S+</t>
  </si>
  <si>
    <t>Design Speed</t>
  </si>
  <si>
    <t>3 x Design Speed</t>
  </si>
  <si>
    <t>Length =</t>
  </si>
  <si>
    <t>Algebraic Diff (A) =</t>
  </si>
  <si>
    <t>L
(S &lt; L)</t>
  </si>
  <si>
    <t>L
(S &gt; L)</t>
  </si>
  <si>
    <t>Using S = SSD</t>
  </si>
  <si>
    <t>L = SSD*</t>
  </si>
  <si>
    <t>L (ft)</t>
  </si>
  <si>
    <t>Comfort EQ</t>
  </si>
  <si>
    <t>230 ft *</t>
  </si>
  <si>
    <t>Criteria</t>
  </si>
  <si>
    <t>S=SSD</t>
  </si>
  <si>
    <t>Criteria*</t>
  </si>
  <si>
    <t>= Comfort Equation</t>
  </si>
  <si>
    <t>= SSD Equation</t>
  </si>
  <si>
    <t>Design Speed =</t>
  </si>
  <si>
    <t xml:space="preserve"> Sag Vertical Curve Stopping Sight Distance 
Using L &amp; A from Inputs to the left</t>
  </si>
  <si>
    <t>INPUTS</t>
  </si>
  <si>
    <t>↑ Calculations    
                            Results ↓</t>
  </si>
  <si>
    <t xml:space="preserve">Minimum </t>
  </si>
  <si>
    <t>Sag Vertical Curve Length - Reconstruction</t>
  </si>
  <si>
    <t>Comfort
Equation *</t>
  </si>
  <si>
    <t xml:space="preserve">Grade = </t>
  </si>
  <si>
    <t>SSD**</t>
  </si>
  <si>
    <r>
      <t>* L can never be less than allowed by the Comfort Equation:
L = AV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/46.5</t>
    </r>
  </si>
  <si>
    <t>** Must be adjusted for grades of 3% and steeper per Design Manual 1260.03(2).</t>
  </si>
  <si>
    <t>SSD from Exhibit 1260-1</t>
  </si>
  <si>
    <t>Desired Minumum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</si>
</sst>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2" borderId="17" xfId="0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1" fontId="0" fillId="3" borderId="6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0" fontId="0" fillId="0" borderId="0" xfId="0" quotePrefix="1"/>
    <xf numFmtId="0" fontId="0" fillId="0" borderId="0" xfId="0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24" xfId="0" applyFill="1" applyBorder="1" applyAlignment="1">
      <alignment vertical="center" textRotation="90"/>
    </xf>
    <xf numFmtId="0" fontId="3" fillId="0" borderId="24" xfId="0" applyFont="1" applyFill="1" applyBorder="1" applyAlignment="1">
      <alignment vertical="center" textRotation="90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" fontId="0" fillId="4" borderId="17" xfId="0" applyNumberFormat="1" applyFill="1" applyBorder="1" applyAlignment="1">
      <alignment horizontal="center" vertical="center"/>
    </xf>
    <xf numFmtId="1" fontId="0" fillId="4" borderId="35" xfId="0" applyNumberFormat="1" applyFill="1" applyBorder="1" applyAlignment="1">
      <alignment horizontal="center" vertical="center"/>
    </xf>
    <xf numFmtId="1" fontId="0" fillId="4" borderId="36" xfId="0" applyNumberFormat="1" applyFill="1" applyBorder="1" applyAlignment="1">
      <alignment horizontal="center" vertic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0" fillId="2" borderId="25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30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1">
    <cellStyle name="Normal" xfId="0" builtinId="0"/>
  </cellStyles>
  <dxfs count="8">
    <dxf>
      <font>
        <b/>
        <i/>
      </font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528928</xdr:colOff>
      <xdr:row>6</xdr:row>
      <xdr:rowOff>98181</xdr:rowOff>
    </xdr:from>
    <xdr:ext cx="156825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A29973E-CF3A-4951-8A69-C905BB5A4FD7}"/>
                </a:ext>
              </a:extLst>
            </xdr:cNvPr>
            <xdr:cNvSpPr txBox="1"/>
          </xdr:nvSpPr>
          <xdr:spPr>
            <a:xfrm>
              <a:off x="5445293" y="1277816"/>
              <a:ext cx="1568250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en-US" sz="12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𝐴</m:t>
                        </m:r>
                        <m:sSup>
                          <m:sSup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p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400+3.5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A29973E-CF3A-4951-8A69-C905BB5A4FD7}"/>
                </a:ext>
              </a:extLst>
            </xdr:cNvPr>
            <xdr:cNvSpPr txBox="1"/>
          </xdr:nvSpPr>
          <xdr:spPr>
            <a:xfrm>
              <a:off x="5445293" y="1277816"/>
              <a:ext cx="1568250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𝐿</a:t>
              </a:r>
              <a:r>
                <a:rPr lang="en-US" sz="1200" i="0">
                  <a:latin typeface="Cambria Math" panose="02040503050406030204" pitchFamily="18" charset="0"/>
                </a:rPr>
                <a:t>=(</a:t>
              </a:r>
              <a:r>
                <a:rPr lang="en-US" sz="1200" b="0" i="0">
                  <a:latin typeface="Cambria Math" panose="02040503050406030204" pitchFamily="18" charset="0"/>
                </a:rPr>
                <a:t>𝐴𝑆^2)/(400+3.5𝑆)</a:t>
              </a:r>
              <a:endParaRPr lang="en-US" sz="1800"/>
            </a:p>
          </xdr:txBody>
        </xdr:sp>
      </mc:Fallback>
    </mc:AlternateContent>
    <xdr:clientData/>
  </xdr:oneCellAnchor>
  <xdr:twoCellAnchor>
    <xdr:from>
      <xdr:col>9</xdr:col>
      <xdr:colOff>0</xdr:colOff>
      <xdr:row>5</xdr:row>
      <xdr:rowOff>1</xdr:rowOff>
    </xdr:from>
    <xdr:to>
      <xdr:col>9</xdr:col>
      <xdr:colOff>595014</xdr:colOff>
      <xdr:row>6</xdr:row>
      <xdr:rowOff>98181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ECBDA3A-1DC0-4CFC-92A5-58048C1B24C7}"/>
            </a:ext>
          </a:extLst>
        </xdr:cNvPr>
        <xdr:cNvCxnSpPr>
          <a:stCxn id="2" idx="0"/>
        </xdr:cNvCxnSpPr>
      </xdr:nvCxnSpPr>
      <xdr:spPr>
        <a:xfrm flipH="1" flipV="1">
          <a:off x="5634404" y="989136"/>
          <a:ext cx="595014" cy="2886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</xdr:colOff>
      <xdr:row>6</xdr:row>
      <xdr:rowOff>98181</xdr:rowOff>
    </xdr:from>
    <xdr:ext cx="2683042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28C6504-88B9-4776-9D7F-0811DDE6295C}"/>
                </a:ext>
              </a:extLst>
            </xdr:cNvPr>
            <xdr:cNvSpPr txBox="1"/>
          </xdr:nvSpPr>
          <xdr:spPr>
            <a:xfrm>
              <a:off x="2762251" y="1277816"/>
              <a:ext cx="2683042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3.5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±</m:t>
                        </m:r>
                        <m:rad>
                          <m:radPr>
                            <m:degHide m:val="on"/>
                            <m:ctrlP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2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3.5</m:t>
                                    </m:r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𝐿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+1600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𝐴𝐿</m:t>
                            </m:r>
                          </m:e>
                        </m:rad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28C6504-88B9-4776-9D7F-0811DDE6295C}"/>
                </a:ext>
              </a:extLst>
            </xdr:cNvPr>
            <xdr:cNvSpPr txBox="1"/>
          </xdr:nvSpPr>
          <xdr:spPr>
            <a:xfrm>
              <a:off x="2762251" y="1277816"/>
              <a:ext cx="2683042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𝑆=(3.5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±√((3.5𝐿)^2+1600𝐴𝐿))/</a:t>
              </a:r>
              <a:r>
                <a:rPr lang="en-US" sz="1200" b="0" i="0">
                  <a:latin typeface="Cambria Math" panose="02040503050406030204" pitchFamily="18" charset="0"/>
                </a:rPr>
                <a:t>2𝐴</a:t>
              </a:r>
              <a:endParaRPr lang="en-US" sz="1200"/>
            </a:p>
          </xdr:txBody>
        </xdr:sp>
      </mc:Fallback>
    </mc:AlternateContent>
    <xdr:clientData/>
  </xdr:oneCellAnchor>
  <xdr:twoCellAnchor>
    <xdr:from>
      <xdr:col>6</xdr:col>
      <xdr:colOff>623484</xdr:colOff>
      <xdr:row>5</xdr:row>
      <xdr:rowOff>0</xdr:rowOff>
    </xdr:from>
    <xdr:to>
      <xdr:col>7</xdr:col>
      <xdr:colOff>285750</xdr:colOff>
      <xdr:row>6</xdr:row>
      <xdr:rowOff>98181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77D4CC0-A694-4D9A-9852-4CF764B69F03}"/>
            </a:ext>
          </a:extLst>
        </xdr:cNvPr>
        <xdr:cNvCxnSpPr>
          <a:stCxn id="5" idx="0"/>
        </xdr:cNvCxnSpPr>
      </xdr:nvCxnSpPr>
      <xdr:spPr>
        <a:xfrm flipV="1">
          <a:off x="4103772" y="989135"/>
          <a:ext cx="380305" cy="28868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</xdr:colOff>
      <xdr:row>6</xdr:row>
      <xdr:rowOff>98181</xdr:rowOff>
    </xdr:from>
    <xdr:ext cx="1436077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8C1C8DED-F5DB-4E90-BC02-5584CAB905DA}"/>
                </a:ext>
              </a:extLst>
            </xdr:cNvPr>
            <xdr:cNvSpPr txBox="1"/>
          </xdr:nvSpPr>
          <xdr:spPr>
            <a:xfrm>
              <a:off x="1326174" y="1277816"/>
              <a:ext cx="1436077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400+3.5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𝑆</m:t>
                        </m:r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8C1C8DED-F5DB-4E90-BC02-5584CAB905DA}"/>
                </a:ext>
              </a:extLst>
            </xdr:cNvPr>
            <xdr:cNvSpPr txBox="1"/>
          </xdr:nvSpPr>
          <xdr:spPr>
            <a:xfrm>
              <a:off x="1326174" y="1277816"/>
              <a:ext cx="1436077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𝐿=2𝑆−(400+3.5𝑆)/𝐴</a:t>
              </a:r>
              <a:endParaRPr lang="en-US" sz="1200"/>
            </a:p>
          </xdr:txBody>
        </xdr:sp>
      </mc:Fallback>
    </mc:AlternateContent>
    <xdr:clientData/>
  </xdr:oneCellAnchor>
  <xdr:twoCellAnchor>
    <xdr:from>
      <xdr:col>4</xdr:col>
      <xdr:colOff>1</xdr:colOff>
      <xdr:row>5</xdr:row>
      <xdr:rowOff>7327</xdr:rowOff>
    </xdr:from>
    <xdr:to>
      <xdr:col>6</xdr:col>
      <xdr:colOff>307731</xdr:colOff>
      <xdr:row>6</xdr:row>
      <xdr:rowOff>98181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4B0205DA-F03A-422F-8CB8-1D7B46C4B3D9}"/>
            </a:ext>
          </a:extLst>
        </xdr:cNvPr>
        <xdr:cNvCxnSpPr>
          <a:stCxn id="10" idx="0"/>
        </xdr:cNvCxnSpPr>
      </xdr:nvCxnSpPr>
      <xdr:spPr>
        <a:xfrm flipV="1">
          <a:off x="2044213" y="996462"/>
          <a:ext cx="1743806" cy="28135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182440</xdr:colOff>
      <xdr:row>6</xdr:row>
      <xdr:rowOff>98181</xdr:rowOff>
    </xdr:from>
    <xdr:ext cx="1143734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3321AE9F-E60B-4DFC-AC89-0F183211F51C}"/>
                </a:ext>
              </a:extLst>
            </xdr:cNvPr>
            <xdr:cNvSpPr txBox="1"/>
          </xdr:nvSpPr>
          <xdr:spPr>
            <a:xfrm>
              <a:off x="182440" y="1277816"/>
              <a:ext cx="1143734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𝐿𝐴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+400</m:t>
                        </m:r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−3.5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3321AE9F-E60B-4DFC-AC89-0F183211F51C}"/>
                </a:ext>
              </a:extLst>
            </xdr:cNvPr>
            <xdr:cNvSpPr txBox="1"/>
          </xdr:nvSpPr>
          <xdr:spPr>
            <a:xfrm>
              <a:off x="182440" y="1277816"/>
              <a:ext cx="1143734" cy="457200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𝑆=(𝐿𝐴+400)/(2𝐴−3.5)</a:t>
              </a:r>
              <a:endParaRPr lang="en-US" sz="1200"/>
            </a:p>
          </xdr:txBody>
        </xdr:sp>
      </mc:Fallback>
    </mc:AlternateContent>
    <xdr:clientData/>
  </xdr:oneCellAnchor>
  <xdr:twoCellAnchor>
    <xdr:from>
      <xdr:col>1</xdr:col>
      <xdr:colOff>146172</xdr:colOff>
      <xdr:row>5</xdr:row>
      <xdr:rowOff>1</xdr:rowOff>
    </xdr:from>
    <xdr:to>
      <xdr:col>5</xdr:col>
      <xdr:colOff>2</xdr:colOff>
      <xdr:row>6</xdr:row>
      <xdr:rowOff>98181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2999CF30-96DC-419E-B214-64F30AB33553}"/>
            </a:ext>
          </a:extLst>
        </xdr:cNvPr>
        <xdr:cNvCxnSpPr>
          <a:stCxn id="14" idx="0"/>
        </xdr:cNvCxnSpPr>
      </xdr:nvCxnSpPr>
      <xdr:spPr>
        <a:xfrm flipV="1">
          <a:off x="754307" y="989136"/>
          <a:ext cx="2007945" cy="2886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hugh, Jim" id="{B8F702FA-4E9A-485E-852C-621539297F52}" userId="Mahugh, Jim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" dT="2021-05-11T19:55:17.69" personId="{B8F702FA-4E9A-485E-852C-621539297F52}" id="{76DD307C-9E80-45F4-874F-D754EB515B0E}">
    <text>This equation uses a "+" and a "-".  For calculating S, the "-" value will never be used as the equation will always yield a higher value using the "+".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DEB6-D1A7-40FC-B983-01716FD09CAB}">
  <dimension ref="A1:L29"/>
  <sheetViews>
    <sheetView tabSelected="1" topLeftCell="A3" zoomScale="175" zoomScaleNormal="175" workbookViewId="0">
      <selection activeCell="M13" sqref="M13"/>
    </sheetView>
  </sheetViews>
  <sheetFormatPr defaultRowHeight="14.5" x14ac:dyDescent="0.35"/>
  <cols>
    <col min="2" max="3" width="10.7265625" customWidth="1"/>
    <col min="4" max="4" width="10.7265625" hidden="1" customWidth="1"/>
    <col min="5" max="17" width="10.7265625" customWidth="1"/>
  </cols>
  <sheetData>
    <row r="1" spans="1:12" ht="15.75" customHeight="1" thickBot="1" x14ac:dyDescent="0.4">
      <c r="A1" s="72" t="s">
        <v>23</v>
      </c>
      <c r="B1" s="73"/>
      <c r="C1" s="74"/>
      <c r="D1" s="41"/>
      <c r="F1" s="68" t="s">
        <v>22</v>
      </c>
      <c r="G1" s="69"/>
      <c r="H1" s="69"/>
      <c r="I1" s="70"/>
    </row>
    <row r="2" spans="1:12" ht="15" thickBot="1" x14ac:dyDescent="0.4">
      <c r="A2" s="75" t="s">
        <v>21</v>
      </c>
      <c r="B2" s="76"/>
      <c r="C2" s="35">
        <v>45</v>
      </c>
      <c r="D2" s="42"/>
      <c r="F2" s="63"/>
      <c r="G2" s="71"/>
      <c r="H2" s="71"/>
      <c r="I2" s="64"/>
    </row>
    <row r="3" spans="1:12" ht="15.75" customHeight="1" thickBot="1" x14ac:dyDescent="0.4">
      <c r="A3" s="77" t="s">
        <v>7</v>
      </c>
      <c r="B3" s="78"/>
      <c r="C3" s="36">
        <v>50</v>
      </c>
      <c r="D3" s="42"/>
      <c r="F3" s="61" t="s">
        <v>1</v>
      </c>
      <c r="G3" s="62"/>
      <c r="H3" s="61" t="s">
        <v>0</v>
      </c>
      <c r="I3" s="62"/>
    </row>
    <row r="4" spans="1:12" ht="15" thickBot="1" x14ac:dyDescent="0.4">
      <c r="A4" s="77" t="s">
        <v>8</v>
      </c>
      <c r="B4" s="78"/>
      <c r="C4" s="36">
        <v>2.2999999999999998</v>
      </c>
      <c r="D4" s="42"/>
      <c r="F4" s="15" t="s">
        <v>2</v>
      </c>
      <c r="G4" s="20" t="s">
        <v>3</v>
      </c>
      <c r="H4" s="10" t="s">
        <v>4</v>
      </c>
      <c r="I4" s="14" t="s">
        <v>3</v>
      </c>
    </row>
    <row r="5" spans="1:12" ht="15" thickBot="1" x14ac:dyDescent="0.4">
      <c r="A5" s="92" t="s">
        <v>28</v>
      </c>
      <c r="B5" s="93"/>
      <c r="C5" s="37">
        <v>0</v>
      </c>
      <c r="D5" s="33"/>
      <c r="F5" s="34">
        <f>($C$3*$C$4+400)/(2*$C$4-3.5)</f>
        <v>468.18181818181836</v>
      </c>
      <c r="G5" s="11">
        <f>(2*$C$3)-(400+3.5*$C$3)/$C$4</f>
        <v>-150.00000000000003</v>
      </c>
      <c r="H5" s="12">
        <f>(3.5*$C$3+SQRT((3.5*$C$3)^2+1600*$C$4))/(2*$C$4)</f>
        <v>78.307845655173878</v>
      </c>
      <c r="I5" s="13">
        <f>($C$4*$C$3^2)/(400+3.5*$C$3)</f>
        <v>10</v>
      </c>
    </row>
    <row r="6" spans="1:12" x14ac:dyDescent="0.35">
      <c r="B6" s="1"/>
      <c r="C6" s="33"/>
      <c r="D6" s="33"/>
    </row>
    <row r="7" spans="1:12" x14ac:dyDescent="0.35">
      <c r="B7" s="1"/>
      <c r="C7" s="33"/>
      <c r="D7" s="33"/>
    </row>
    <row r="8" spans="1:12" x14ac:dyDescent="0.35">
      <c r="B8" s="1"/>
      <c r="C8" s="33"/>
      <c r="D8" s="33"/>
    </row>
    <row r="9" spans="1:12" x14ac:dyDescent="0.35">
      <c r="B9" s="1"/>
      <c r="C9" s="33"/>
      <c r="D9" s="33"/>
    </row>
    <row r="10" spans="1:12" x14ac:dyDescent="0.35">
      <c r="B10" s="1"/>
      <c r="C10" s="33"/>
      <c r="D10" s="33"/>
    </row>
    <row r="11" spans="1:12" ht="15" thickBot="1" x14ac:dyDescent="0.4">
      <c r="B11" s="1"/>
      <c r="C11" s="33"/>
      <c r="D11" s="33"/>
      <c r="H11" s="40"/>
    </row>
    <row r="12" spans="1:12" ht="15" customHeight="1" thickBot="1" x14ac:dyDescent="0.4">
      <c r="D12" s="58" t="s">
        <v>32</v>
      </c>
      <c r="F12" s="79" t="s">
        <v>11</v>
      </c>
      <c r="G12" s="81"/>
      <c r="H12" s="39"/>
      <c r="I12" s="79" t="s">
        <v>26</v>
      </c>
      <c r="J12" s="80"/>
      <c r="K12" s="80"/>
      <c r="L12" s="81"/>
    </row>
    <row r="13" spans="1:12" ht="15" customHeight="1" thickBot="1" x14ac:dyDescent="0.4">
      <c r="A13" s="86" t="s">
        <v>5</v>
      </c>
      <c r="B13" s="82" t="s">
        <v>6</v>
      </c>
      <c r="C13" s="88" t="s">
        <v>27</v>
      </c>
      <c r="D13" s="59"/>
      <c r="E13" s="84" t="s">
        <v>29</v>
      </c>
      <c r="F13" s="68" t="s">
        <v>10</v>
      </c>
      <c r="G13" s="90" t="s">
        <v>9</v>
      </c>
      <c r="H13" s="38"/>
      <c r="I13" s="63" t="s">
        <v>25</v>
      </c>
      <c r="J13" s="64"/>
      <c r="K13" s="63" t="s">
        <v>33</v>
      </c>
      <c r="L13" s="64"/>
    </row>
    <row r="14" spans="1:12" ht="15.75" customHeight="1" thickBot="1" x14ac:dyDescent="0.4">
      <c r="A14" s="87"/>
      <c r="B14" s="83"/>
      <c r="C14" s="89"/>
      <c r="D14" s="60"/>
      <c r="E14" s="85"/>
      <c r="F14" s="63"/>
      <c r="G14" s="91"/>
      <c r="H14" s="38"/>
      <c r="I14" s="15" t="s">
        <v>13</v>
      </c>
      <c r="J14" s="20" t="s">
        <v>16</v>
      </c>
      <c r="K14" s="15" t="s">
        <v>13</v>
      </c>
      <c r="L14" s="19" t="s">
        <v>18</v>
      </c>
    </row>
    <row r="15" spans="1:12" ht="15" customHeight="1" x14ac:dyDescent="0.35">
      <c r="A15" s="3">
        <v>25</v>
      </c>
      <c r="B15" s="4">
        <f>3*A15</f>
        <v>75</v>
      </c>
      <c r="C15" s="16">
        <f t="shared" ref="C15:C26" si="0">($C$4*$A15^2)/46.5</f>
        <v>30.913978494623656</v>
      </c>
      <c r="D15" s="26">
        <v>155</v>
      </c>
      <c r="E15" s="46">
        <f>IF(AND($C$5&gt;-3,$C$5&lt;3),$D15,1.47*$A15*(2.5)+($A15^2/(30*(0.347826+($C$5/100)))))</f>
        <v>155</v>
      </c>
      <c r="F15" s="43">
        <f>IF((2*E15)-(400+3.5*E15)/$C$4&lt;0,0,(2*E15)-(400+3.5*E15)/$C$4)</f>
        <v>0</v>
      </c>
      <c r="G15" s="29">
        <f t="shared" ref="G15:G26" si="1">($C$4*E15^2)/(400+3.5*E15)</f>
        <v>58.628647214854105</v>
      </c>
      <c r="H15" s="65" t="s">
        <v>24</v>
      </c>
      <c r="I15" s="22">
        <f>IF((2*E15)-(400+3.5*E15)/$C$4&lt;C15,C15,F15)</f>
        <v>30.913978494623656</v>
      </c>
      <c r="J15" s="23" t="s">
        <v>12</v>
      </c>
      <c r="K15" s="22">
        <f>IF(OR(C15&gt;F15,C15&gt;G15),C15,IF(G15&gt;E15,G15,F15))</f>
        <v>30.913978494623656</v>
      </c>
      <c r="L15" s="23" t="s">
        <v>17</v>
      </c>
    </row>
    <row r="16" spans="1:12" x14ac:dyDescent="0.35">
      <c r="A16" s="5">
        <v>30</v>
      </c>
      <c r="B16" s="2">
        <f t="shared" ref="B16:B26" si="2">3*A16</f>
        <v>90</v>
      </c>
      <c r="C16" s="17">
        <f t="shared" si="0"/>
        <v>44.516129032258064</v>
      </c>
      <c r="D16" s="27">
        <v>200</v>
      </c>
      <c r="E16" s="47">
        <f t="shared" ref="E16:E26" si="3">IF(AND($C$5&gt;-3,$C$5&lt;3),$D16,1.47*$A16*(2.5)+($A16^2/(30*(0.347826+($C$5/100)))))</f>
        <v>200</v>
      </c>
      <c r="F16" s="44">
        <f>IF((2*E16)-(400+3.5*E16)/$C$4&lt;0,0,(2*E16)-(400+3.5*E16)/$C$4)</f>
        <v>0</v>
      </c>
      <c r="G16" s="30">
        <f t="shared" si="1"/>
        <v>83.63636363636364</v>
      </c>
      <c r="H16" s="66"/>
      <c r="I16" s="8">
        <f>IF((2*E16)-(400+3.5*E16)/$C$4&lt;C16,C16,F16)</f>
        <v>44.516129032258064</v>
      </c>
      <c r="J16" s="24" t="s">
        <v>12</v>
      </c>
      <c r="K16" s="8">
        <f>IF(OR(C16&gt;F16,C16&gt;G16),C16,IF(G16&gt;E16,G16,F16))</f>
        <v>44.516129032258064</v>
      </c>
      <c r="L16" s="24" t="s">
        <v>17</v>
      </c>
    </row>
    <row r="17" spans="1:12" x14ac:dyDescent="0.35">
      <c r="A17" s="5">
        <v>35</v>
      </c>
      <c r="B17" s="2">
        <f t="shared" si="2"/>
        <v>105</v>
      </c>
      <c r="C17" s="17">
        <f t="shared" si="0"/>
        <v>60.591397849462368</v>
      </c>
      <c r="D17" s="27">
        <v>250</v>
      </c>
      <c r="E17" s="47">
        <f t="shared" si="3"/>
        <v>250</v>
      </c>
      <c r="F17" s="44">
        <f t="shared" ref="F17:F26" si="4">IF((2*E17)-(400+3.5*E17)/$C$4&lt;0,0,(2*E17)-(400+3.5*E17)/$C$4)</f>
        <v>0</v>
      </c>
      <c r="G17" s="30">
        <f t="shared" si="1"/>
        <v>112.74509803921569</v>
      </c>
      <c r="H17" s="66"/>
      <c r="I17" s="8">
        <f>IF((2*230)-(400+3.5*230)/$C$4&lt;C17,C17,(2*230)-(400+3.5*230)/$C$4)</f>
        <v>60.591397849462368</v>
      </c>
      <c r="J17" s="24" t="s">
        <v>15</v>
      </c>
      <c r="K17" s="8">
        <f>IF(OR(C17&gt;F17,C17&gt;G17),C17,IF(G17&gt;E17,G17,F17))</f>
        <v>60.591397849462368</v>
      </c>
      <c r="L17" s="24" t="s">
        <v>17</v>
      </c>
    </row>
    <row r="18" spans="1:12" x14ac:dyDescent="0.35">
      <c r="A18" s="5">
        <v>40</v>
      </c>
      <c r="B18" s="2">
        <f t="shared" si="2"/>
        <v>120</v>
      </c>
      <c r="C18" s="17">
        <f t="shared" si="0"/>
        <v>79.139784946236546</v>
      </c>
      <c r="D18" s="27">
        <v>305</v>
      </c>
      <c r="E18" s="47">
        <f t="shared" si="3"/>
        <v>305</v>
      </c>
      <c r="F18" s="44">
        <f t="shared" si="4"/>
        <v>0</v>
      </c>
      <c r="G18" s="30">
        <f t="shared" si="1"/>
        <v>145.79727427597953</v>
      </c>
      <c r="H18" s="66"/>
      <c r="I18" s="8">
        <f t="shared" ref="I18:I19" si="5">IF((2*230)-(400+3.5*230)/$C$4&lt;C18,C18,(2*230)-(400+3.5*230)/$C$4)</f>
        <v>79.139784946236546</v>
      </c>
      <c r="J18" s="24" t="s">
        <v>15</v>
      </c>
      <c r="K18" s="8">
        <f>IF(OR(C18&gt;F18,C18&gt;G18),C18,IF(G18&gt;E18,G18,F18))</f>
        <v>79.139784946236546</v>
      </c>
      <c r="L18" s="24" t="s">
        <v>17</v>
      </c>
    </row>
    <row r="19" spans="1:12" x14ac:dyDescent="0.35">
      <c r="A19" s="5">
        <v>45</v>
      </c>
      <c r="B19" s="2">
        <f t="shared" si="2"/>
        <v>135</v>
      </c>
      <c r="C19" s="17">
        <f t="shared" si="0"/>
        <v>100.16129032258064</v>
      </c>
      <c r="D19" s="27">
        <v>360</v>
      </c>
      <c r="E19" s="47">
        <f t="shared" si="3"/>
        <v>360</v>
      </c>
      <c r="F19" s="44">
        <f t="shared" si="4"/>
        <v>0</v>
      </c>
      <c r="G19" s="30">
        <f t="shared" si="1"/>
        <v>179.56626506024097</v>
      </c>
      <c r="H19" s="66"/>
      <c r="I19" s="8">
        <f t="shared" si="5"/>
        <v>100.16129032258064</v>
      </c>
      <c r="J19" s="24" t="s">
        <v>15</v>
      </c>
      <c r="K19" s="8">
        <f t="shared" ref="K19:K26" si="6">IF(OR(C19&gt;F19,C19&gt;G19),C19,IF(G19&gt;E19,G19,F19))</f>
        <v>100.16129032258064</v>
      </c>
      <c r="L19" s="24" t="s">
        <v>17</v>
      </c>
    </row>
    <row r="20" spans="1:12" x14ac:dyDescent="0.35">
      <c r="A20" s="5">
        <v>50</v>
      </c>
      <c r="B20" s="2">
        <f t="shared" si="2"/>
        <v>150</v>
      </c>
      <c r="C20" s="17">
        <f t="shared" si="0"/>
        <v>123.65591397849462</v>
      </c>
      <c r="D20" s="27">
        <v>425</v>
      </c>
      <c r="E20" s="47">
        <f t="shared" si="3"/>
        <v>425</v>
      </c>
      <c r="F20" s="44">
        <f t="shared" si="4"/>
        <v>29.347826086956502</v>
      </c>
      <c r="G20" s="30">
        <f t="shared" si="1"/>
        <v>220.09933774834434</v>
      </c>
      <c r="H20" s="66"/>
      <c r="I20" s="8">
        <f>C20</f>
        <v>123.65591397849462</v>
      </c>
      <c r="J20" s="24" t="s">
        <v>14</v>
      </c>
      <c r="K20" s="8">
        <f t="shared" si="6"/>
        <v>123.65591397849462</v>
      </c>
      <c r="L20" s="24" t="s">
        <v>17</v>
      </c>
    </row>
    <row r="21" spans="1:12" x14ac:dyDescent="0.35">
      <c r="A21" s="5">
        <v>55</v>
      </c>
      <c r="B21" s="2">
        <f t="shared" si="2"/>
        <v>165</v>
      </c>
      <c r="C21" s="17">
        <f t="shared" si="0"/>
        <v>149.62365591397847</v>
      </c>
      <c r="D21" s="27">
        <v>495</v>
      </c>
      <c r="E21" s="47">
        <f t="shared" si="3"/>
        <v>495</v>
      </c>
      <c r="F21" s="44">
        <f t="shared" si="4"/>
        <v>62.826086956521635</v>
      </c>
      <c r="G21" s="30">
        <f t="shared" si="1"/>
        <v>264.27080890973036</v>
      </c>
      <c r="H21" s="66"/>
      <c r="I21" s="8">
        <f t="shared" ref="I21:I26" si="7">C21</f>
        <v>149.62365591397847</v>
      </c>
      <c r="J21" s="24" t="s">
        <v>14</v>
      </c>
      <c r="K21" s="8">
        <f t="shared" si="6"/>
        <v>149.62365591397847</v>
      </c>
      <c r="L21" s="24" t="s">
        <v>17</v>
      </c>
    </row>
    <row r="22" spans="1:12" x14ac:dyDescent="0.35">
      <c r="A22" s="5">
        <v>60</v>
      </c>
      <c r="B22" s="2">
        <f t="shared" si="2"/>
        <v>180</v>
      </c>
      <c r="C22" s="17">
        <f t="shared" si="0"/>
        <v>178.06451612903226</v>
      </c>
      <c r="D22" s="27">
        <v>570</v>
      </c>
      <c r="E22" s="47">
        <f t="shared" si="3"/>
        <v>570</v>
      </c>
      <c r="F22" s="44">
        <f t="shared" si="4"/>
        <v>98.695652173913004</v>
      </c>
      <c r="G22" s="30">
        <f t="shared" si="1"/>
        <v>312.01252609603341</v>
      </c>
      <c r="H22" s="66"/>
      <c r="I22" s="8">
        <f t="shared" si="7"/>
        <v>178.06451612903226</v>
      </c>
      <c r="J22" s="24" t="s">
        <v>14</v>
      </c>
      <c r="K22" s="8">
        <f t="shared" si="6"/>
        <v>178.06451612903226</v>
      </c>
      <c r="L22" s="24" t="s">
        <v>17</v>
      </c>
    </row>
    <row r="23" spans="1:12" x14ac:dyDescent="0.35">
      <c r="A23" s="5">
        <v>65</v>
      </c>
      <c r="B23" s="2">
        <f t="shared" si="2"/>
        <v>195</v>
      </c>
      <c r="C23" s="17">
        <f t="shared" si="0"/>
        <v>208.97849462365591</v>
      </c>
      <c r="D23" s="27">
        <v>645</v>
      </c>
      <c r="E23" s="47">
        <f t="shared" si="3"/>
        <v>645</v>
      </c>
      <c r="F23" s="44">
        <f>IF((2*E23)-(400+3.5*E23)/$C$4&lt;0,0,(2*E23)-(400+3.5*E23)/$C$4)</f>
        <v>134.56521739130426</v>
      </c>
      <c r="G23" s="30">
        <f t="shared" si="1"/>
        <v>360.05926622765753</v>
      </c>
      <c r="H23" s="66"/>
      <c r="I23" s="8">
        <f t="shared" si="7"/>
        <v>208.97849462365591</v>
      </c>
      <c r="J23" s="24" t="s">
        <v>14</v>
      </c>
      <c r="K23" s="8">
        <f t="shared" si="6"/>
        <v>208.97849462365591</v>
      </c>
      <c r="L23" s="24" t="s">
        <v>17</v>
      </c>
    </row>
    <row r="24" spans="1:12" x14ac:dyDescent="0.35">
      <c r="A24" s="5">
        <v>70</v>
      </c>
      <c r="B24" s="2">
        <f t="shared" si="2"/>
        <v>210</v>
      </c>
      <c r="C24" s="17">
        <f t="shared" si="0"/>
        <v>242.36559139784947</v>
      </c>
      <c r="D24" s="27">
        <v>730</v>
      </c>
      <c r="E24" s="47">
        <f t="shared" si="3"/>
        <v>730</v>
      </c>
      <c r="F24" s="44">
        <f t="shared" si="4"/>
        <v>175.21739130434776</v>
      </c>
      <c r="G24" s="30">
        <f t="shared" si="1"/>
        <v>414.77834179357023</v>
      </c>
      <c r="H24" s="66"/>
      <c r="I24" s="8">
        <f t="shared" si="7"/>
        <v>242.36559139784947</v>
      </c>
      <c r="J24" s="24" t="s">
        <v>14</v>
      </c>
      <c r="K24" s="8">
        <f t="shared" si="6"/>
        <v>242.36559139784947</v>
      </c>
      <c r="L24" s="24" t="s">
        <v>17</v>
      </c>
    </row>
    <row r="25" spans="1:12" x14ac:dyDescent="0.35">
      <c r="A25" s="5">
        <v>75</v>
      </c>
      <c r="B25" s="2">
        <f t="shared" si="2"/>
        <v>225</v>
      </c>
      <c r="C25" s="17">
        <f t="shared" si="0"/>
        <v>278.22580645161287</v>
      </c>
      <c r="D25" s="27">
        <v>820</v>
      </c>
      <c r="E25" s="47">
        <f t="shared" si="3"/>
        <v>820</v>
      </c>
      <c r="F25" s="44">
        <f t="shared" si="4"/>
        <v>218.26086956521726</v>
      </c>
      <c r="G25" s="30">
        <f t="shared" si="1"/>
        <v>472.94189602446477</v>
      </c>
      <c r="H25" s="66"/>
      <c r="I25" s="8">
        <f t="shared" si="7"/>
        <v>278.22580645161287</v>
      </c>
      <c r="J25" s="24" t="s">
        <v>14</v>
      </c>
      <c r="K25" s="8">
        <f t="shared" si="6"/>
        <v>278.22580645161287</v>
      </c>
      <c r="L25" s="24" t="s">
        <v>17</v>
      </c>
    </row>
    <row r="26" spans="1:12" ht="15" thickBot="1" x14ac:dyDescent="0.4">
      <c r="A26" s="6">
        <v>80</v>
      </c>
      <c r="B26" s="7">
        <f t="shared" si="2"/>
        <v>240</v>
      </c>
      <c r="C26" s="18">
        <f t="shared" si="0"/>
        <v>316.55913978494618</v>
      </c>
      <c r="D26" s="28">
        <v>910</v>
      </c>
      <c r="E26" s="48">
        <f t="shared" si="3"/>
        <v>910</v>
      </c>
      <c r="F26" s="45">
        <f t="shared" si="4"/>
        <v>261.30434782608677</v>
      </c>
      <c r="G26" s="31">
        <f t="shared" si="1"/>
        <v>531.27754532775452</v>
      </c>
      <c r="H26" s="67"/>
      <c r="I26" s="9">
        <f t="shared" si="7"/>
        <v>316.55913978494618</v>
      </c>
      <c r="J26" s="25" t="s">
        <v>14</v>
      </c>
      <c r="K26" s="9">
        <f t="shared" si="6"/>
        <v>316.55913978494618</v>
      </c>
      <c r="L26" s="25" t="s">
        <v>17</v>
      </c>
    </row>
    <row r="27" spans="1:12" ht="32.25" customHeight="1" thickBot="1" x14ac:dyDescent="0.4">
      <c r="H27" s="49" t="s">
        <v>30</v>
      </c>
      <c r="I27" s="50"/>
      <c r="J27" s="50"/>
      <c r="K27" s="50"/>
      <c r="L27" s="51"/>
    </row>
    <row r="28" spans="1:12" x14ac:dyDescent="0.35">
      <c r="B28" s="17"/>
      <c r="C28" s="32" t="s">
        <v>19</v>
      </c>
      <c r="D28" s="32"/>
      <c r="H28" s="52" t="s">
        <v>31</v>
      </c>
      <c r="I28" s="53"/>
      <c r="J28" s="53"/>
      <c r="K28" s="53"/>
      <c r="L28" s="54"/>
    </row>
    <row r="29" spans="1:12" ht="15" thickBot="1" x14ac:dyDescent="0.4">
      <c r="B29" s="21"/>
      <c r="C29" s="32" t="s">
        <v>20</v>
      </c>
      <c r="D29" s="32"/>
      <c r="H29" s="55"/>
      <c r="I29" s="56"/>
      <c r="J29" s="56"/>
      <c r="K29" s="56"/>
      <c r="L29" s="57"/>
    </row>
  </sheetData>
  <mergeCells count="22">
    <mergeCell ref="F1:I2"/>
    <mergeCell ref="A1:C1"/>
    <mergeCell ref="A2:B2"/>
    <mergeCell ref="A3:B3"/>
    <mergeCell ref="I13:J13"/>
    <mergeCell ref="I12:L12"/>
    <mergeCell ref="A4:B4"/>
    <mergeCell ref="B13:B14"/>
    <mergeCell ref="E13:E14"/>
    <mergeCell ref="A13:A14"/>
    <mergeCell ref="C13:C14"/>
    <mergeCell ref="F12:G12"/>
    <mergeCell ref="G13:G14"/>
    <mergeCell ref="F13:F14"/>
    <mergeCell ref="A5:B5"/>
    <mergeCell ref="H27:L27"/>
    <mergeCell ref="H28:L29"/>
    <mergeCell ref="D12:D14"/>
    <mergeCell ref="F3:G3"/>
    <mergeCell ref="H3:I3"/>
    <mergeCell ref="K13:L13"/>
    <mergeCell ref="H15:H26"/>
  </mergeCells>
  <phoneticPr fontId="1" type="noConversion"/>
  <conditionalFormatting sqref="F15:F26">
    <cfRule type="expression" dxfId="7" priority="12">
      <formula>F15&gt;E15</formula>
    </cfRule>
  </conditionalFormatting>
  <conditionalFormatting sqref="G15:G26">
    <cfRule type="expression" dxfId="6" priority="11">
      <formula>G15&lt;E15</formula>
    </cfRule>
  </conditionalFormatting>
  <conditionalFormatting sqref="I15:I26">
    <cfRule type="expression" dxfId="5" priority="13">
      <formula>I15=F15</formula>
    </cfRule>
    <cfRule type="expression" dxfId="4" priority="14">
      <formula>I15=C15</formula>
    </cfRule>
  </conditionalFormatting>
  <conditionalFormatting sqref="B29">
    <cfRule type="expression" dxfId="3" priority="2">
      <formula>B29&gt;#REF!</formula>
    </cfRule>
  </conditionalFormatting>
  <conditionalFormatting sqref="K15:K26">
    <cfRule type="expression" dxfId="2" priority="3">
      <formula>OR(K15=F15,K15=G15)</formula>
    </cfRule>
    <cfRule type="expression" dxfId="1" priority="4">
      <formula>K15=C15</formula>
    </cfRule>
  </conditionalFormatting>
  <conditionalFormatting sqref="A15:A26">
    <cfRule type="expression" dxfId="0" priority="1">
      <formula>A15=$C$2</formula>
    </cfRule>
  </conditionalFormatting>
  <pageMargins left="0.7" right="0.7" top="0.75" bottom="0.75" header="0.3" footer="0.3"/>
  <pageSetup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5C81B8D7FE419EE703A70984609E" ma:contentTypeVersion="4" ma:contentTypeDescription="Create a new document." ma:contentTypeScope="" ma:versionID="916f072438400a8aee01d4159e7639af">
  <xsd:schema xmlns:xsd="http://www.w3.org/2001/XMLSchema" xmlns:xs="http://www.w3.org/2001/XMLSchema" xmlns:p="http://schemas.microsoft.com/office/2006/metadata/properties" xmlns:ns2="e2b30149-aab2-4901-aa85-bbc0459ba732" xmlns:ns3="6bb804e7-0502-4371-b06a-9614e3940479" targetNamespace="http://schemas.microsoft.com/office/2006/metadata/properties" ma:root="true" ma:fieldsID="3e59c1baa6dca9aff7c2e5e5a6f6e06f" ns2:_="" ns3:_="">
    <xsd:import namespace="e2b30149-aab2-4901-aa85-bbc0459ba732"/>
    <xsd:import namespace="6bb804e7-0502-4371-b06a-9614e3940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30149-aab2-4901-aa85-bbc0459ba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804e7-0502-4371-b06a-9614e3940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1970B-EE18-44AF-8770-2C389D8D68DB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6bb804e7-0502-4371-b06a-9614e3940479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2b30149-aab2-4901-aa85-bbc0459ba73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EC5CEB-7C4B-4388-8D59-240942CB06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43550F-15BD-46DD-AA4F-922B4408E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30149-aab2-4901-aa85-bbc0459ba732"/>
    <ds:schemaRef ds:uri="6bb804e7-0502-4371-b06a-9614e3940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 Vertical Curves</dc:title>
  <dc:creator>HQ Design</dc:creator>
  <cp:lastModifiedBy>Saunders, Dustin</cp:lastModifiedBy>
  <dcterms:created xsi:type="dcterms:W3CDTF">2021-05-05T19:48:50Z</dcterms:created>
  <dcterms:modified xsi:type="dcterms:W3CDTF">2021-05-13T23:02:51Z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0x0101009E855C81B8D7FE419EE703A70984609E</vt:lpwstr>
  </property>
</Properties>
</file>